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1385" windowHeight="8655" activeTab="0"/>
  </bookViews>
  <sheets>
    <sheet name="Feuil1" sheetId="1" r:id="rId1"/>
    <sheet name="Feuil2" sheetId="2" r:id="rId2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'Feuil1'!$I$8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<sst xmlns="http://schemas.openxmlformats.org/spreadsheetml/2006/main" count="109" uniqueCount="96">
  <si>
    <t>Envergure</t>
  </si>
  <si>
    <t>m</t>
  </si>
  <si>
    <t>dm2</t>
  </si>
  <si>
    <t>kg</t>
  </si>
  <si>
    <t>Charge alaire</t>
  </si>
  <si>
    <t>g/dm2</t>
  </si>
  <si>
    <t>Vmin</t>
  </si>
  <si>
    <t>km/h</t>
  </si>
  <si>
    <t>Vitesse</t>
  </si>
  <si>
    <t>Cz</t>
  </si>
  <si>
    <t>Cxi</t>
  </si>
  <si>
    <t>Cx</t>
  </si>
  <si>
    <t>allongement</t>
  </si>
  <si>
    <t>a</t>
  </si>
  <si>
    <t>ae</t>
  </si>
  <si>
    <t>Re</t>
  </si>
  <si>
    <t>finesse</t>
  </si>
  <si>
    <t>profil</t>
  </si>
  <si>
    <t>Ailes</t>
  </si>
  <si>
    <t>Corde à l'emplanture</t>
  </si>
  <si>
    <t>Corde au saumon</t>
  </si>
  <si>
    <t>Fuselage</t>
  </si>
  <si>
    <t>Longueur</t>
  </si>
  <si>
    <t>Hauteur maximale</t>
  </si>
  <si>
    <t>Largeur maximale</t>
  </si>
  <si>
    <t>Surface de la dérive</t>
  </si>
  <si>
    <t>Caractéristiques de l'avion</t>
  </si>
  <si>
    <t>Maître couple du train</t>
  </si>
  <si>
    <t>0,5 à 1</t>
  </si>
  <si>
    <t>0,78 à 1</t>
  </si>
  <si>
    <t>Masse de l'avion</t>
  </si>
  <si>
    <t>Surface mouillée</t>
  </si>
  <si>
    <t>Propulsion</t>
  </si>
  <si>
    <t>Nmax moteur</t>
  </si>
  <si>
    <t>Pas de l'hélice</t>
  </si>
  <si>
    <t>Tr/mn</t>
  </si>
  <si>
    <t>pouces</t>
  </si>
  <si>
    <t>Vmax</t>
  </si>
  <si>
    <t>trainée</t>
  </si>
  <si>
    <t>1 à 2</t>
  </si>
  <si>
    <t>degrés</t>
  </si>
  <si>
    <t>Propreté du fuselage</t>
  </si>
  <si>
    <t>Carénage du train</t>
  </si>
  <si>
    <t>0,1 à 1</t>
  </si>
  <si>
    <t xml:space="preserve">Surface alaire </t>
  </si>
  <si>
    <t>Recul de l'hélice</t>
  </si>
  <si>
    <t>0 à 1</t>
  </si>
  <si>
    <t>cm</t>
  </si>
  <si>
    <t>cm2</t>
  </si>
  <si>
    <t>Gmax</t>
  </si>
  <si>
    <t>G</t>
  </si>
  <si>
    <t>Vz</t>
  </si>
  <si>
    <t>m/s</t>
  </si>
  <si>
    <t>Les valeurs sur fond vert doivent être entrées à la main en fonction d'autres données affichées</t>
  </si>
  <si>
    <t>dans la feuille de calcul.</t>
  </si>
  <si>
    <t>Les valeurs sur fond jaune sont les valeurs initiales à entrer à la main.</t>
  </si>
  <si>
    <t>remplacées par des valeurs entrées à la main.</t>
  </si>
  <si>
    <t>Entrer les lignes 5 à 8 en fonction des mesures.</t>
  </si>
  <si>
    <t>Czmax résulte du Czmax du profil, en tenant compte de la perte de portance provenant de la forme des ailes.</t>
  </si>
  <si>
    <t>La surface alaire est calculée pour une aile trapézoidale. Si elle ne l'est pas, Il faut entrer la vraie valeur</t>
  </si>
  <si>
    <t>à la place de la formule et majorer un peu la corde au saumon.</t>
  </si>
  <si>
    <t>Entrer les lignes 16 à 18 en fonction des mesures.</t>
  </si>
  <si>
    <t>valeur intermédiaire doit être utilisée pour les sections plus ou moins arrondies en fonction de l'arrondi.</t>
  </si>
  <si>
    <t>du fuselage. Une valeur de moins de 0,5 correspond à un fuselage dont une partie n'est qu'un tube carbone mince.</t>
  </si>
  <si>
    <t>Entrer les lignes 21 et 22 en fonction des mesures.</t>
  </si>
  <si>
    <t>Propreté du fuselage est de 1 pour un fuselage parfait sans excroissance (en particulier chapes), il peut atteindre</t>
  </si>
  <si>
    <t>2 pour les fuselages particulièrement peu soignés.</t>
  </si>
  <si>
    <t>Si on a mesuré avec soin la surface mouillée du fuselage (en tenant compte de l'empennage) on peut entrer la</t>
  </si>
  <si>
    <r>
      <t xml:space="preserve">valeur réelle à la place de celle estimée. </t>
    </r>
    <r>
      <rPr>
        <b/>
        <sz val="10"/>
        <rFont val="Arial"/>
        <family val="2"/>
      </rPr>
      <t>Attention</t>
    </r>
    <r>
      <rPr>
        <sz val="10"/>
        <rFont val="Arial"/>
        <family val="0"/>
      </rPr>
      <t xml:space="preserve"> : la surface mouillée d'une dérive est de 2 fois sa surface portante.</t>
    </r>
  </si>
  <si>
    <t>Ligne 26, mettre 1 si aucun profilage de ce qui dépasse n'existe ; 0,1 si tout est parfaitement profilé.</t>
  </si>
  <si>
    <t>Entrer la masse précise du modèle</t>
  </si>
  <si>
    <t>Si Vmax estimé ne convient pas (notamment dans le cas d'un planeur sans propulsion), entrer Vmax désiré à la place de la formule.</t>
  </si>
  <si>
    <t>Les valeurs de Cx doivent être entrées à la main à partir de la lecture de la polaire en fonction de Cz et Re moyen.</t>
  </si>
  <si>
    <t>on part droit en pointe avec une section nulle aux extrémités. Les valeurs intermédiaires servent à définir le degré d'éfilement</t>
  </si>
  <si>
    <t>Entrer les lignes 30 à 32 avec autant de précision que possible en fonction des valeurs estimées. Elles fixent Vmax.</t>
  </si>
  <si>
    <t>Les valeurs sur fond bleu sont des valeurs intermédiaires qui peuvent, si on le désire, être</t>
  </si>
  <si>
    <t>Voir mode d'emploi résumé en feuille 2</t>
  </si>
  <si>
    <t>Incidence, trainée, finesse, et taux de chute d'un modèle</t>
  </si>
  <si>
    <t>incidence</t>
  </si>
  <si>
    <t>Cxf</t>
  </si>
  <si>
    <t>Surface du stabilisateur</t>
  </si>
  <si>
    <t>et qui n'a pas été considéré dans le coefficient de propreté du fuselage.</t>
  </si>
  <si>
    <t>Entrer la ligne 25 en mettant la somme des maîtres couples de tout ce qui dépasse franchement du fuselage</t>
  </si>
  <si>
    <t>P. Kauffmann V1,0</t>
  </si>
  <si>
    <t>Coef. de trainée induite</t>
  </si>
  <si>
    <t>Coef. De trainée induite correspond à l'augmentation de cette trainée pour une aile non élipsoidale.</t>
  </si>
  <si>
    <t>Cxp</t>
  </si>
  <si>
    <t>0,7 à 1,1</t>
  </si>
  <si>
    <t>0,5 à 1,5</t>
  </si>
  <si>
    <t>Coefficient de section</t>
  </si>
  <si>
    <t>Coefficcient de profil</t>
  </si>
  <si>
    <t>Coefficient de section doit être de 0,78 pour une section élipsoidale et de 1 pour une section rectangulaire. Une</t>
  </si>
  <si>
    <t>Coefficient de profil doit être de 1 pour une section constante du fuselage et de 0,5 si à partir du maître couple</t>
  </si>
  <si>
    <t>Cz max ailes</t>
  </si>
  <si>
    <t>Mini Milan</t>
  </si>
  <si>
    <t>S7012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</si>
</sst>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00"/>
  </numFmts>
  <fonts count="7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.5"/>
      <name val="Arial"/>
      <family val="0"/>
    </font>
    <font>
      <b/>
      <sz val="9.5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right"/>
      <protection locked="0"/>
    </xf>
    <xf numFmtId="172" fontId="0" fillId="0" borderId="0" xfId="0" applyNumberFormat="1" applyAlignment="1" applyProtection="1">
      <alignment/>
      <protection hidden="1"/>
    </xf>
    <xf numFmtId="173" fontId="0" fillId="0" borderId="0" xfId="0" applyNumberFormat="1" applyAlignment="1" applyProtection="1">
      <alignment/>
      <protection hidden="1"/>
    </xf>
    <xf numFmtId="1" fontId="0" fillId="3" borderId="0" xfId="0" applyNumberFormat="1" applyFill="1" applyAlignment="1" applyProtection="1">
      <alignment/>
      <protection locked="0"/>
    </xf>
    <xf numFmtId="1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172" fontId="0" fillId="0" borderId="0" xfId="0" applyNumberFormat="1" applyAlignment="1" applyProtection="1">
      <alignment horizontal="center"/>
      <protection hidden="1"/>
    </xf>
    <xf numFmtId="173" fontId="0" fillId="4" borderId="0" xfId="0" applyNumberForma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173" fontId="0" fillId="0" borderId="0" xfId="0" applyNumberFormat="1" applyAlignment="1">
      <alignment/>
    </xf>
    <xf numFmtId="173" fontId="2" fillId="0" borderId="0" xfId="0" applyNumberFormat="1" applyFont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2" fontId="0" fillId="3" borderId="0" xfId="0" applyNumberFormat="1" applyFill="1" applyAlignment="1" applyProtection="1">
      <alignment/>
      <protection locked="0"/>
    </xf>
    <xf numFmtId="172" fontId="0" fillId="2" borderId="0" xfId="0" applyNumberForma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v>Incidence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Feuil1!$D$5:$D$20</c:f>
              <c:numCache/>
            </c:numRef>
          </c:xVal>
          <c:yVal>
            <c:numRef>
              <c:f>Feuil1!$F$5:$F$20</c:f>
              <c:numCache/>
            </c:numRef>
          </c:yVal>
          <c:smooth val="1"/>
        </c:ser>
        <c:ser>
          <c:idx val="7"/>
          <c:order val="2"/>
          <c:tx>
            <c:v>Finesse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Feuil1!$D$5:$D$20</c:f>
              <c:numCache/>
            </c:numRef>
          </c:xVal>
          <c:yVal>
            <c:numRef>
              <c:f>Feuil1!$L$5:$L$20</c:f>
              <c:numCache/>
            </c:numRef>
          </c:yVal>
          <c:smooth val="1"/>
        </c:ser>
        <c:axId val="59387758"/>
        <c:axId val="64727775"/>
      </c:scatterChart>
      <c:scatterChart>
        <c:scatterStyle val="lineMarker"/>
        <c:varyColors val="0"/>
        <c:ser>
          <c:idx val="6"/>
          <c:order val="1"/>
          <c:tx>
            <c:v>Traînée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Feuil1!$D$5:$D$20</c:f>
              <c:numCache/>
            </c:numRef>
          </c:xVal>
          <c:yVal>
            <c:numRef>
              <c:f>Feuil1!$K$5:$K$20</c:f>
              <c:numCache/>
            </c:numRef>
          </c:yVal>
          <c:smooth val="1"/>
        </c:ser>
        <c:axId val="45679064"/>
        <c:axId val="8458393"/>
      </c:scatterChart>
      <c:valAx>
        <c:axId val="59387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Vitesse en 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727775"/>
        <c:crosses val="autoZero"/>
        <c:crossBetween val="midCat"/>
        <c:dispUnits/>
      </c:valAx>
      <c:valAx>
        <c:axId val="6472777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9387758"/>
        <c:crosses val="autoZero"/>
        <c:crossBetween val="midCat"/>
        <c:dispUnits/>
      </c:valAx>
      <c:valAx>
        <c:axId val="45679064"/>
        <c:scaling>
          <c:orientation val="minMax"/>
        </c:scaling>
        <c:axPos val="b"/>
        <c:delete val="1"/>
        <c:majorTickMark val="in"/>
        <c:minorTickMark val="none"/>
        <c:tickLblPos val="nextTo"/>
        <c:crossAx val="8458393"/>
        <c:crosses val="max"/>
        <c:crossBetween val="midCat"/>
        <c:dispUnits/>
      </c:valAx>
      <c:valAx>
        <c:axId val="84583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crossAx val="4567906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20</xdr:row>
      <xdr:rowOff>85725</xdr:rowOff>
    </xdr:from>
    <xdr:to>
      <xdr:col>12</xdr:col>
      <xdr:colOff>409575</xdr:colOff>
      <xdr:row>36</xdr:row>
      <xdr:rowOff>85725</xdr:rowOff>
    </xdr:to>
    <xdr:graphicFrame>
      <xdr:nvGraphicFramePr>
        <xdr:cNvPr id="1" name="Chart 2"/>
        <xdr:cNvGraphicFramePr/>
      </xdr:nvGraphicFramePr>
      <xdr:xfrm>
        <a:off x="2914650" y="3495675"/>
        <a:ext cx="43434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85" zoomScaleNormal="85" workbookViewId="0" topLeftCell="A1">
      <selection activeCell="B5" sqref="B5"/>
    </sheetView>
  </sheetViews>
  <sheetFormatPr defaultColWidth="11.421875" defaultRowHeight="12.75"/>
  <cols>
    <col min="1" max="1" width="21.8515625" style="0" customWidth="1"/>
    <col min="3" max="3" width="8.28125" style="0" customWidth="1"/>
    <col min="4" max="4" width="7.421875" style="0" customWidth="1"/>
    <col min="5" max="5" width="5.57421875" style="0" customWidth="1"/>
    <col min="6" max="6" width="8.8515625" style="0" customWidth="1"/>
    <col min="7" max="7" width="7.8515625" style="0" customWidth="1"/>
    <col min="8" max="8" width="6.00390625" style="20" customWidth="1"/>
    <col min="9" max="9" width="6.140625" style="0" customWidth="1"/>
    <col min="10" max="10" width="5.8515625" style="0" customWidth="1"/>
    <col min="11" max="12" width="6.7109375" style="0" customWidth="1"/>
    <col min="13" max="13" width="7.140625" style="0" customWidth="1"/>
    <col min="14" max="14" width="11.140625" style="0" customWidth="1"/>
  </cols>
  <sheetData>
    <row r="1" ht="26.25">
      <c r="A1" s="2" t="s">
        <v>77</v>
      </c>
    </row>
    <row r="2" spans="1:2" ht="12.75">
      <c r="A2" s="8" t="s">
        <v>83</v>
      </c>
      <c r="B2" s="19" t="s">
        <v>94</v>
      </c>
    </row>
    <row r="3" spans="4:13" ht="12.75">
      <c r="D3" s="5" t="s">
        <v>8</v>
      </c>
      <c r="E3" s="5" t="s">
        <v>9</v>
      </c>
      <c r="F3" s="5" t="s">
        <v>78</v>
      </c>
      <c r="G3" s="5" t="s">
        <v>15</v>
      </c>
      <c r="H3" s="21" t="s">
        <v>86</v>
      </c>
      <c r="I3" s="5" t="s">
        <v>10</v>
      </c>
      <c r="J3" s="5" t="s">
        <v>79</v>
      </c>
      <c r="K3" s="5" t="s">
        <v>38</v>
      </c>
      <c r="L3" s="5" t="s">
        <v>16</v>
      </c>
      <c r="M3" s="5" t="s">
        <v>51</v>
      </c>
    </row>
    <row r="4" spans="1:13" ht="12.75">
      <c r="A4" s="3" t="s">
        <v>26</v>
      </c>
      <c r="D4" s="5" t="s">
        <v>7</v>
      </c>
      <c r="E4" s="5"/>
      <c r="F4" s="5" t="s">
        <v>40</v>
      </c>
      <c r="G4" s="5"/>
      <c r="H4" s="22"/>
      <c r="I4" s="5"/>
      <c r="J4" s="5"/>
      <c r="K4" s="5" t="s">
        <v>3</v>
      </c>
      <c r="L4" s="5"/>
      <c r="M4" s="5" t="s">
        <v>52</v>
      </c>
    </row>
    <row r="5" spans="1:13" ht="12.75">
      <c r="A5" s="3" t="s">
        <v>18</v>
      </c>
      <c r="D5" s="15">
        <f>B34</f>
        <v>22.392532585579048</v>
      </c>
      <c r="E5" s="16">
        <f>20.7572*B33/D5^2</f>
        <v>1.0500032374408492</v>
      </c>
      <c r="F5" s="17">
        <f>E5/B15</f>
        <v>11.945177742248191</v>
      </c>
      <c r="G5" s="15">
        <f>INT(3.5*(B7+B8)*D5/3.6)*10000</f>
        <v>60000</v>
      </c>
      <c r="H5" s="18">
        <v>0.03</v>
      </c>
      <c r="I5" s="12">
        <f>(E5^2)/(3.1416*B13*B11)</f>
        <v>0.030125701201610816</v>
      </c>
      <c r="J5" s="12">
        <f>B24*((B25+2*(B22+B23))/(2*B12))*((H5+2*MIN(H5:H20))/3)+0.01*B27*B26/B12</f>
        <v>0.006669717184527584</v>
      </c>
      <c r="K5" s="16">
        <f>0.000624362*(H5+I5+J5)*B12*(D5/3.6)^2</f>
        <v>0.038168713161855654</v>
      </c>
      <c r="L5" s="17">
        <f>E5/(H5+I5+J5)</f>
        <v>15.719689505811216</v>
      </c>
      <c r="M5" s="16">
        <f aca="true" t="shared" si="0" ref="M5:M20">SIN(ATAN((H5+I5+J5)/E5))*D5/3.6</f>
        <v>0.394893305761152</v>
      </c>
    </row>
    <row r="6" spans="1:13" ht="12.75">
      <c r="A6" t="s">
        <v>0</v>
      </c>
      <c r="B6" s="9">
        <v>1.66</v>
      </c>
      <c r="C6" t="s">
        <v>1</v>
      </c>
      <c r="D6" s="15">
        <f>B34+1*(B35-B34)/15</f>
        <v>26.124621349842222</v>
      </c>
      <c r="E6" s="16">
        <f>20.7572*B33/D6^2</f>
        <v>0.7714309499565423</v>
      </c>
      <c r="F6" s="17">
        <f>E6/B15</f>
        <v>8.776048953488468</v>
      </c>
      <c r="G6" s="15">
        <f>INT(3.5*(B7+B8)*D6/3.6)*10000</f>
        <v>70000</v>
      </c>
      <c r="H6" s="18">
        <v>0.019</v>
      </c>
      <c r="I6" s="12">
        <f>(E6^2)/(3.1416*B13*B11)</f>
        <v>0.01626110318920767</v>
      </c>
      <c r="J6" s="12">
        <f>B24*((B25+2*(B22+B23))/(2*B12))*((H6+2*MIN(H5:H20))/3)+0.01*B27*B26/B12</f>
        <v>0.005102048615514691</v>
      </c>
      <c r="K6" s="16">
        <f>0.000624362*(H6+I6+J6)*B12*(D6/3.6)^2</f>
        <v>0.031393482449649915</v>
      </c>
      <c r="L6" s="17">
        <f aca="true" t="shared" si="1" ref="L6:L20">E6/(H6+I6+J6)</f>
        <v>19.112257479017963</v>
      </c>
      <c r="M6" s="16">
        <f t="shared" si="0"/>
        <v>0.379176887981584</v>
      </c>
    </row>
    <row r="7" spans="1:13" ht="12.75">
      <c r="A7" t="s">
        <v>19</v>
      </c>
      <c r="B7" s="9">
        <v>0.16</v>
      </c>
      <c r="C7" t="s">
        <v>1</v>
      </c>
      <c r="D7" s="15">
        <f>B34+2*(B35-B34)/15</f>
        <v>29.856710114105397</v>
      </c>
      <c r="E7" s="16">
        <f>20.7572*B33/D7^2</f>
        <v>0.5906268210604777</v>
      </c>
      <c r="F7" s="17">
        <f>E7/B15</f>
        <v>6.719162480014608</v>
      </c>
      <c r="G7" s="15">
        <f>INT(3.5*(B7+B8)*D7/3.6)*10000</f>
        <v>80000</v>
      </c>
      <c r="H7" s="18">
        <v>0.015</v>
      </c>
      <c r="I7" s="12">
        <f>(E7^2)/(3.1416*B13*B11)</f>
        <v>0.009531960145822171</v>
      </c>
      <c r="J7" s="12">
        <f>B24*((B25+2*(B22+B23))/(2*B12))*((H7+2*MIN(H5:H20))/3)+0.01*B27*B26/B12</f>
        <v>0.00453198731769182</v>
      </c>
      <c r="K7" s="16">
        <f>0.000624362*(H7+I7+J7)*B12*(D7/3.6)^2</f>
        <v>0.02952520466260856</v>
      </c>
      <c r="L7" s="17">
        <f t="shared" si="1"/>
        <v>20.321631182479013</v>
      </c>
      <c r="M7" s="16">
        <f t="shared" si="0"/>
        <v>0.40762020318910586</v>
      </c>
    </row>
    <row r="8" spans="1:13" ht="12.75">
      <c r="A8" t="s">
        <v>20</v>
      </c>
      <c r="B8" s="9">
        <v>0.125</v>
      </c>
      <c r="C8" t="s">
        <v>1</v>
      </c>
      <c r="D8" s="15">
        <f>B34+3*(B35-B34)/15</f>
        <v>33.58879887836857</v>
      </c>
      <c r="E8" s="16">
        <f>20.7572*B33/D8^2</f>
        <v>0.46666810552926635</v>
      </c>
      <c r="F8" s="17">
        <f>E8/B15</f>
        <v>5.308967885443641</v>
      </c>
      <c r="G8" s="15">
        <f>INT(3.5*(B7+B8)*D8/3.6)*10000</f>
        <v>90000</v>
      </c>
      <c r="H8" s="18">
        <v>0.0135</v>
      </c>
      <c r="I8" s="12">
        <f>(E8^2)/(3.1416*B13*B11)</f>
        <v>0.00595075579291078</v>
      </c>
      <c r="J8" s="12">
        <f>B24*((B25+2*(B22+B23))/(2*B12))*((H8+2*MIN(H5:H20))/3)+0.01*B27*B26/B12</f>
        <v>0.004318214331008244</v>
      </c>
      <c r="K8" s="16">
        <f>0.000624362*(H8+I8+J8)*B12*(D8/3.6)^2</f>
        <v>0.030560026505529313</v>
      </c>
      <c r="L8" s="17">
        <f t="shared" si="1"/>
        <v>19.633501287447547</v>
      </c>
      <c r="M8" s="16">
        <f t="shared" si="0"/>
        <v>0.47460424967476905</v>
      </c>
    </row>
    <row r="9" spans="1:13" ht="12.75">
      <c r="A9" t="s">
        <v>17</v>
      </c>
      <c r="B9" s="10" t="s">
        <v>95</v>
      </c>
      <c r="D9" s="15">
        <f>B34+4*(B35-B34)/15</f>
        <v>37.320887642631746</v>
      </c>
      <c r="E9" s="16">
        <f>20.7572*B33/D9^2</f>
        <v>0.3780011654787057</v>
      </c>
      <c r="F9" s="17">
        <f>E9/B15</f>
        <v>4.300263987209349</v>
      </c>
      <c r="G9" s="15">
        <f>INT(3.5*(B7+B8)*D9/3.6)*10000</f>
        <v>100000</v>
      </c>
      <c r="H9" s="18">
        <v>0.013</v>
      </c>
      <c r="I9" s="12">
        <f>(E9^2)/(3.1416*B13*B11)</f>
        <v>0.0039042908757287616</v>
      </c>
      <c r="J9" s="12">
        <f>B24*((B25+2*(B22+B23))/(2*B12))*((H9+2*MIN(H5:H20))/3)+0.01*B27*B26/B12</f>
        <v>0.004246956668780386</v>
      </c>
      <c r="K9" s="16">
        <f>0.000624362*(H9+I9+J9)*B12*(D9/3.6)^2</f>
        <v>0.033573323176264026</v>
      </c>
      <c r="L9" s="17">
        <f t="shared" si="1"/>
        <v>17.871341379900525</v>
      </c>
      <c r="M9" s="16">
        <f t="shared" si="0"/>
        <v>0.5791799017793617</v>
      </c>
    </row>
    <row r="10" spans="1:13" ht="12.75">
      <c r="A10" t="s">
        <v>93</v>
      </c>
      <c r="B10" s="24">
        <f>1.05*B11</f>
        <v>1.05</v>
      </c>
      <c r="C10" t="s">
        <v>88</v>
      </c>
      <c r="D10" s="15">
        <f>B34+5*(B35-B34)/15</f>
        <v>41.05297640689493</v>
      </c>
      <c r="E10" s="16">
        <f>20.7572*B33/D10^2</f>
        <v>0.31239765742041786</v>
      </c>
      <c r="F10" s="17">
        <f>E10/B15</f>
        <v>3.5539371795118577</v>
      </c>
      <c r="G10" s="15">
        <f>INT(3.5*(B7+B8)*D10/3.6)*10000</f>
        <v>110000</v>
      </c>
      <c r="H10" s="18">
        <v>0.012</v>
      </c>
      <c r="I10" s="12">
        <f>(E10^2)/(3.1416*B13*B11)</f>
        <v>0.002666683201781818</v>
      </c>
      <c r="J10" s="12">
        <f>B24*((B25+2*(B22+B23))/(2*B12))*((H10+2*MIN(H5:H20))/3)+0.01*B27*B26/B12</f>
        <v>0.004104441344324667</v>
      </c>
      <c r="K10" s="16">
        <f>0.000624362*(H10+I10+J10)*B12*(D10/3.6)^2</f>
        <v>0.036052385355758575</v>
      </c>
      <c r="L10" s="17">
        <f t="shared" si="1"/>
        <v>16.64245829561743</v>
      </c>
      <c r="M10" s="16">
        <f t="shared" si="0"/>
        <v>0.68397791268921</v>
      </c>
    </row>
    <row r="11" spans="1:13" ht="12.75">
      <c r="A11" t="s">
        <v>84</v>
      </c>
      <c r="B11" s="9">
        <v>1</v>
      </c>
      <c r="C11" t="s">
        <v>87</v>
      </c>
      <c r="D11" s="15">
        <f>B34+6*(B35-B34)/15</f>
        <v>44.785065171158095</v>
      </c>
      <c r="E11" s="16">
        <f>20.7572*B33/D11^2</f>
        <v>0.2625008093602123</v>
      </c>
      <c r="F11" s="17">
        <f>E11/B15</f>
        <v>2.9862944355620478</v>
      </c>
      <c r="G11" s="15">
        <f>INT(3.5*(B7+B8)*D11/3.6)*10000</f>
        <v>120000</v>
      </c>
      <c r="H11" s="18">
        <v>0.011</v>
      </c>
      <c r="I11" s="12">
        <f>(E11^2)/(3.1416*B13*B11)</f>
        <v>0.001882856325100676</v>
      </c>
      <c r="J11" s="12">
        <f>B24*((B25+2*(B22+B23))/(2*B12))*((H11+2*MIN(H5:H20))/3)+0.01*B27*B26/B12</f>
        <v>0.0039619260198689495</v>
      </c>
      <c r="K11" s="16">
        <f>0.000624362*(H11+I11+J11)*B12*(D11/3.6)^2</f>
        <v>0.0385022614504627</v>
      </c>
      <c r="L11" s="17">
        <f t="shared" si="1"/>
        <v>15.583508530082206</v>
      </c>
      <c r="M11" s="16">
        <f t="shared" si="0"/>
        <v>0.7966602074364939</v>
      </c>
    </row>
    <row r="12" spans="1:13" ht="12.75">
      <c r="A12" t="s">
        <v>44</v>
      </c>
      <c r="B12" s="23">
        <f>100*B6*(B7+B8)/2</f>
        <v>23.655</v>
      </c>
      <c r="C12" t="s">
        <v>2</v>
      </c>
      <c r="D12" s="15">
        <f>B34+7*(B35-B34)/15</f>
        <v>48.51715393542128</v>
      </c>
      <c r="E12" s="16">
        <f>20.7572*B33/D12^2</f>
        <v>0.22366932868562464</v>
      </c>
      <c r="F12" s="17">
        <f>E12/B15</f>
        <v>2.5445349036741707</v>
      </c>
      <c r="G12" s="15">
        <f>INT(3.5*(B7+B8)*D12/3.6)*10000</f>
        <v>130000</v>
      </c>
      <c r="H12" s="18">
        <v>0.01</v>
      </c>
      <c r="I12" s="12">
        <f>(E12^2)/(3.1416*B13*B11)</f>
        <v>0.0013670007617831168</v>
      </c>
      <c r="J12" s="12">
        <f>B24*((B25+2*(B22+B23))/(2*B12))*((H12+2*MIN(H5:H20))/3)+0.01*B27*B26/B12</f>
        <v>0.0038194106954132323</v>
      </c>
      <c r="K12" s="16">
        <f>0.000624362*(H12+I12+J12)*B12*(D12/3.6)^2</f>
        <v>0.0407380474720309</v>
      </c>
      <c r="L12" s="17">
        <f t="shared" si="1"/>
        <v>14.728254223589797</v>
      </c>
      <c r="M12" s="16">
        <f t="shared" si="0"/>
        <v>0.9129411935378428</v>
      </c>
    </row>
    <row r="13" spans="1:13" ht="12.75">
      <c r="A13" t="s">
        <v>12</v>
      </c>
      <c r="B13" s="11">
        <f>100*B6*B6/B12</f>
        <v>11.649122807017543</v>
      </c>
      <c r="D13" s="15">
        <f>B34+8*(B35-B34)/15</f>
        <v>52.249242699684444</v>
      </c>
      <c r="E13" s="16">
        <f>20.7572*B33/D13^2</f>
        <v>0.19285773748913557</v>
      </c>
      <c r="F13" s="17">
        <f>E13/B15</f>
        <v>2.194012238372117</v>
      </c>
      <c r="G13" s="15">
        <f>INT(3.5*(B7+B8)*D13/3.6)*10000</f>
        <v>140000</v>
      </c>
      <c r="H13" s="18">
        <v>0.0092</v>
      </c>
      <c r="I13" s="12">
        <f>(E13^2)/(3.1416*B13*B11)</f>
        <v>0.0010163189493254793</v>
      </c>
      <c r="J13" s="12">
        <f>B24*((B25+2*(B22+B23))/(2*B12))*((H13+2*MIN(H5:H20))/3)+0.01*B27*B26/B12</f>
        <v>0.0037053984358486583</v>
      </c>
      <c r="K13" s="16">
        <f>0.000624362*(H13+I13+J13)*B12*(D13/3.6)^2</f>
        <v>0.04331189918120486</v>
      </c>
      <c r="L13" s="17">
        <f t="shared" si="1"/>
        <v>13.853013400093758</v>
      </c>
      <c r="M13" s="16">
        <f t="shared" si="0"/>
        <v>1.0449720000371163</v>
      </c>
    </row>
    <row r="14" spans="1:13" ht="12.75">
      <c r="A14" t="s">
        <v>14</v>
      </c>
      <c r="B14" s="12">
        <f>0.1097*B6/(SQRT((B6/2)^2+(B7-B8)^2)+B6/2+B8)</f>
        <v>0.1019757872311327</v>
      </c>
      <c r="D14" s="15">
        <f>B34+9*(B35-B34)/15</f>
        <v>55.981331463947626</v>
      </c>
      <c r="E14" s="16">
        <f>20.7572*B33/D14^2</f>
        <v>0.16800051799053586</v>
      </c>
      <c r="F14" s="17">
        <f>E14/B15</f>
        <v>1.9112284387597105</v>
      </c>
      <c r="G14" s="15">
        <f>INT(3.5*(B7+B8)*D14/3.6)*10000</f>
        <v>150000</v>
      </c>
      <c r="H14" s="18">
        <v>0.0089</v>
      </c>
      <c r="I14" s="12">
        <f>(E14^2)/(3.1416*B13*B11)</f>
        <v>0.0007712179507612368</v>
      </c>
      <c r="J14" s="12">
        <f>B24*((B25+2*(B22+B23))/(2*B12))*((H14+2*MIN(H5:H20))/3)+0.01*B27*B26/B12</f>
        <v>0.003662643838511943</v>
      </c>
      <c r="K14" s="16">
        <f>0.000624362*(H14+I14+J14)*B12*(D14/3.6)^2</f>
        <v>0.047620813510785995</v>
      </c>
      <c r="L14" s="17">
        <f t="shared" si="1"/>
        <v>12.599539476679505</v>
      </c>
      <c r="M14" s="16">
        <f t="shared" si="0"/>
        <v>1.2303324282922001</v>
      </c>
    </row>
    <row r="15" spans="1:13" ht="12.75">
      <c r="A15" t="s">
        <v>13</v>
      </c>
      <c r="B15" s="12">
        <f>1/(1/B14+18.29/B13)</f>
        <v>0.0879018512823928</v>
      </c>
      <c r="D15" s="15">
        <f>B34+10*(B35-B34)/15</f>
        <v>59.7134202282108</v>
      </c>
      <c r="E15" s="16">
        <f>20.7572*B33/D15^2</f>
        <v>0.1476567052651194</v>
      </c>
      <c r="F15" s="17">
        <f>E15/B15</f>
        <v>1.6797906200036516</v>
      </c>
      <c r="G15" s="15">
        <f>INT(3.5*(B7+B8)*D15/3.6)*10000</f>
        <v>160000</v>
      </c>
      <c r="H15" s="18">
        <v>0.0084</v>
      </c>
      <c r="I15" s="12">
        <f>(E15^2)/(3.1416*B13*B11)</f>
        <v>0.0005957475091138856</v>
      </c>
      <c r="J15" s="12">
        <f>B24*((B25+2*(B22+B23))/(2*B12))*((H15+2*MIN(H5:H20))/3)+0.01*B27*B26/B12</f>
        <v>0.003591386176284084</v>
      </c>
      <c r="K15" s="16">
        <f>0.000624362*(H15+I15+J15)*B12*(D15/3.6)^2</f>
        <v>0.05114758738723048</v>
      </c>
      <c r="L15" s="17">
        <f t="shared" si="1"/>
        <v>11.730764839370254</v>
      </c>
      <c r="M15" s="16">
        <f t="shared" si="0"/>
        <v>1.4088697448240772</v>
      </c>
    </row>
    <row r="16" spans="1:13" ht="12.75">
      <c r="A16" s="3" t="s">
        <v>21</v>
      </c>
      <c r="D16" s="15">
        <f>B34+11*(B35-B34)/15</f>
        <v>63.445508992473975</v>
      </c>
      <c r="E16" s="16">
        <f>20.7572*B33/D16^2</f>
        <v>0.130796251030694</v>
      </c>
      <c r="F16" s="17">
        <f>E16/B15</f>
        <v>1.4879806184115392</v>
      </c>
      <c r="G16" s="15">
        <f>INT(3.5*(B7+B8)*D16/3.6)*10000</f>
        <v>170000</v>
      </c>
      <c r="H16" s="18">
        <v>0.0085</v>
      </c>
      <c r="I16" s="12">
        <f>(E16^2)/(3.1416*B13*B11)</f>
        <v>0.00046746218025751137</v>
      </c>
      <c r="J16" s="12">
        <f>B24*((B25+2*(B22+B23))/(2*B12))*((H16+2*MIN(H5:H20))/3)+0.01*B27*B26/B12</f>
        <v>0.0036056377087296558</v>
      </c>
      <c r="K16" s="16">
        <f>0.000624362*(H16+I16+J16)*B12*(D16/3.6)^2</f>
        <v>0.057676453981500224</v>
      </c>
      <c r="L16" s="17">
        <f t="shared" si="1"/>
        <v>10.402864224856671</v>
      </c>
      <c r="M16" s="16">
        <f t="shared" si="0"/>
        <v>1.6863515879499449</v>
      </c>
    </row>
    <row r="17" spans="1:13" ht="12.75">
      <c r="A17" t="s">
        <v>22</v>
      </c>
      <c r="B17" s="9">
        <v>0.91</v>
      </c>
      <c r="C17" t="s">
        <v>1</v>
      </c>
      <c r="D17" s="15">
        <f>B34+12*(B35-B34)/15</f>
        <v>67.17759775673714</v>
      </c>
      <c r="E17" s="16">
        <f>20.75*B33/D17^2</f>
        <v>0.11662655837170086</v>
      </c>
      <c r="F17" s="17">
        <f>E17/B15</f>
        <v>1.3267815941330665</v>
      </c>
      <c r="G17" s="15">
        <f>INT(3.5*(B7+B8)*D17/3.6)*10000</f>
        <v>180000</v>
      </c>
      <c r="H17" s="18">
        <v>0.0085</v>
      </c>
      <c r="I17" s="12">
        <f>(E17^2)/(3.1416*B13*B11)</f>
        <v>0.0003716642662632873</v>
      </c>
      <c r="J17" s="12">
        <f>B24*((B25+2*(B22+B23))/(2*B12))*((H17+2*MIN(H5:H20))/3)+0.01*B27*B26/B12</f>
        <v>0.0036056377087296558</v>
      </c>
      <c r="K17" s="16">
        <f>0.000624362*(H17+I17+J17)*B12*(D17/3.6)^2</f>
        <v>0.06416881793116712</v>
      </c>
      <c r="L17" s="17">
        <f t="shared" si="1"/>
        <v>9.347097521999888</v>
      </c>
      <c r="M17" s="16">
        <f t="shared" si="0"/>
        <v>1.9850611307595565</v>
      </c>
    </row>
    <row r="18" spans="1:13" ht="12.75">
      <c r="A18" t="s">
        <v>23</v>
      </c>
      <c r="B18" s="9">
        <v>9.5</v>
      </c>
      <c r="C18" t="s">
        <v>47</v>
      </c>
      <c r="D18" s="15">
        <f>B34+13*(B35-B34)/15</f>
        <v>70.90968652100031</v>
      </c>
      <c r="E18" s="16">
        <f>20.7572*B33/D18^2</f>
        <v>0.10470946412152515</v>
      </c>
      <c r="F18" s="17">
        <f>E18/B15</f>
        <v>1.1912088607228115</v>
      </c>
      <c r="G18" s="15">
        <f>INT(3.5*(B7+B8)*D18/3.6)*10000</f>
        <v>190000</v>
      </c>
      <c r="H18" s="18">
        <v>0.0087</v>
      </c>
      <c r="I18" s="12">
        <f>(E18^2)/(3.1416*B13*B11)</f>
        <v>0.00029959030975274615</v>
      </c>
      <c r="J18" s="12">
        <f>B24*((B25+2*(B22+B23))/(2*B12))*((H18+2*MIN(H5:H20))/3)+0.01*B27*B26/B12</f>
        <v>0.003634140773620799</v>
      </c>
      <c r="K18" s="16">
        <f>0.000624362*(H18+I18+J18)*B12*(D18/3.6)^2</f>
        <v>0.07239309983236165</v>
      </c>
      <c r="L18" s="17">
        <f t="shared" si="1"/>
        <v>8.288087139936568</v>
      </c>
      <c r="M18" s="16">
        <f t="shared" si="0"/>
        <v>2.3594478916279824</v>
      </c>
    </row>
    <row r="19" spans="1:13" ht="12.75">
      <c r="A19" t="s">
        <v>24</v>
      </c>
      <c r="B19" s="9">
        <v>6</v>
      </c>
      <c r="C19" t="s">
        <v>47</v>
      </c>
      <c r="D19" s="15">
        <f>B34+14*(B35-B34)/15</f>
        <v>74.64177528526349</v>
      </c>
      <c r="E19" s="16">
        <f>20.7572*B33/D19^2</f>
        <v>0.09450029136967643</v>
      </c>
      <c r="F19" s="17">
        <f>E19/B15</f>
        <v>1.0750659968023373</v>
      </c>
      <c r="G19" s="15">
        <f>INT(3.5*(B7+B8)*D19/3.6)*10000</f>
        <v>200000</v>
      </c>
      <c r="H19" s="18">
        <v>0.0089</v>
      </c>
      <c r="I19" s="12">
        <f>(E19^2)/(3.1416*B13*B11)</f>
        <v>0.0002440181797330476</v>
      </c>
      <c r="J19" s="12">
        <f>B24*((B25+2*(B22+B23))/(2*B12))*((H19+2*MIN(H5:H20))/3)+0.01*B27*B26/B12</f>
        <v>0.003662643838511943</v>
      </c>
      <c r="K19" s="16">
        <f>0.000624362*(H19+I19+J19)*B12*(D19/3.6)^2</f>
        <v>0.0813119324225096</v>
      </c>
      <c r="L19" s="17">
        <f t="shared" si="1"/>
        <v>7.37899471658163</v>
      </c>
      <c r="M19" s="16">
        <f t="shared" si="0"/>
        <v>2.784392115915659</v>
      </c>
    </row>
    <row r="20" spans="1:13" ht="12.75">
      <c r="A20" t="s">
        <v>89</v>
      </c>
      <c r="B20" s="9">
        <v>0.8</v>
      </c>
      <c r="C20" t="s">
        <v>29</v>
      </c>
      <c r="D20" s="15">
        <f>B34+15*(B35-B34)/15</f>
        <v>78.37386404952667</v>
      </c>
      <c r="E20" s="16">
        <f>20.7572*B33/D20^2</f>
        <v>0.08571454999517135</v>
      </c>
      <c r="F20" s="17">
        <f>E20/B15</f>
        <v>0.9751165503876073</v>
      </c>
      <c r="G20" s="15">
        <f>INT(3.5*(B7+B8)*D20/3.6)*10000</f>
        <v>210000</v>
      </c>
      <c r="H20" s="18">
        <v>0.009</v>
      </c>
      <c r="I20" s="12">
        <f>(E20^2)/(3.1416*B13*B11)</f>
        <v>0.00020075436036058844</v>
      </c>
      <c r="J20" s="12">
        <f>B24*((B25+2*(B22+B23))/(2*B12))*((H20+2*MIN(H5:H20))/3)+0.01*B27*B26/B12</f>
        <v>0.003676895370957514</v>
      </c>
      <c r="K20" s="16">
        <f>0.000624362*(H20+I20+J20)*B12*(D20/3.6)^2</f>
        <v>0.0901433182200151</v>
      </c>
      <c r="L20" s="17">
        <f t="shared" si="1"/>
        <v>6.656070927811916</v>
      </c>
      <c r="M20" s="16">
        <f t="shared" si="0"/>
        <v>3.2344760095108556</v>
      </c>
    </row>
    <row r="21" spans="1:14" ht="12.75">
      <c r="A21" t="s">
        <v>90</v>
      </c>
      <c r="B21" s="9">
        <v>0.4</v>
      </c>
      <c r="C21" t="s">
        <v>28</v>
      </c>
      <c r="D21" s="7"/>
      <c r="E21" s="7"/>
      <c r="F21" s="7"/>
      <c r="N21" s="1"/>
    </row>
    <row r="22" spans="1:14" ht="12.75">
      <c r="A22" t="s">
        <v>80</v>
      </c>
      <c r="B22" s="9">
        <v>1.4</v>
      </c>
      <c r="C22" t="s">
        <v>2</v>
      </c>
      <c r="N22" s="1"/>
    </row>
    <row r="23" spans="1:14" ht="12.75">
      <c r="A23" t="s">
        <v>25</v>
      </c>
      <c r="B23" s="9">
        <v>1.4</v>
      </c>
      <c r="C23" t="s">
        <v>2</v>
      </c>
      <c r="N23" s="1"/>
    </row>
    <row r="24" spans="1:14" ht="12.75">
      <c r="A24" t="s">
        <v>41</v>
      </c>
      <c r="B24" s="9">
        <v>1</v>
      </c>
      <c r="C24" t="s">
        <v>39</v>
      </c>
      <c r="N24" s="1"/>
    </row>
    <row r="25" spans="1:14" ht="12.75">
      <c r="A25" t="s">
        <v>31</v>
      </c>
      <c r="B25" s="23">
        <f>2*(B17*(B18+B19)*B20*B21+B22+B23)</f>
        <v>14.627200000000002</v>
      </c>
      <c r="C25" t="s">
        <v>2</v>
      </c>
      <c r="N25" s="1"/>
    </row>
    <row r="26" spans="1:14" ht="12.75">
      <c r="A26" t="s">
        <v>27</v>
      </c>
      <c r="B26" s="9">
        <v>0</v>
      </c>
      <c r="C26" t="s">
        <v>48</v>
      </c>
      <c r="N26" s="1"/>
    </row>
    <row r="27" spans="1:14" ht="12.75">
      <c r="A27" t="s">
        <v>42</v>
      </c>
      <c r="B27" s="9">
        <v>1</v>
      </c>
      <c r="C27" t="s">
        <v>43</v>
      </c>
      <c r="N27" s="1"/>
    </row>
    <row r="28" ht="12.75">
      <c r="A28" s="3" t="s">
        <v>32</v>
      </c>
    </row>
    <row r="29" spans="1:3" ht="12.75">
      <c r="A29" s="4" t="s">
        <v>30</v>
      </c>
      <c r="B29" s="9">
        <v>0.6</v>
      </c>
      <c r="C29" t="s">
        <v>3</v>
      </c>
    </row>
    <row r="30" spans="1:3" ht="12.75">
      <c r="A30" t="s">
        <v>33</v>
      </c>
      <c r="B30" s="9">
        <v>0</v>
      </c>
      <c r="C30" t="s">
        <v>35</v>
      </c>
    </row>
    <row r="31" spans="1:3" ht="12.75">
      <c r="A31" t="s">
        <v>34</v>
      </c>
      <c r="B31" s="9">
        <v>0</v>
      </c>
      <c r="C31" t="s">
        <v>36</v>
      </c>
    </row>
    <row r="32" spans="1:3" ht="12.75">
      <c r="A32" t="s">
        <v>45</v>
      </c>
      <c r="B32" s="9">
        <v>0</v>
      </c>
      <c r="C32" t="s">
        <v>46</v>
      </c>
    </row>
    <row r="33" spans="1:3" ht="12.75">
      <c r="A33" t="s">
        <v>4</v>
      </c>
      <c r="B33" s="14">
        <f>B29*1000/B12</f>
        <v>25.36461636017755</v>
      </c>
      <c r="C33" t="s">
        <v>5</v>
      </c>
    </row>
    <row r="34" spans="1:3" ht="12.75">
      <c r="A34" t="s">
        <v>6</v>
      </c>
      <c r="B34" s="14">
        <f>4.556*(B33/B10)^0.5</f>
        <v>22.392532585579048</v>
      </c>
      <c r="C34" t="s">
        <v>7</v>
      </c>
    </row>
    <row r="35" spans="1:3" ht="12.75">
      <c r="A35" t="s">
        <v>37</v>
      </c>
      <c r="B35" s="13">
        <f>3.5*B34</f>
        <v>78.37386404952667</v>
      </c>
      <c r="C35" t="s">
        <v>7</v>
      </c>
    </row>
    <row r="36" spans="1:3" ht="12.75">
      <c r="A36" t="s">
        <v>49</v>
      </c>
      <c r="B36" s="14">
        <f>(B35/B34)^2</f>
        <v>12.250000000000004</v>
      </c>
      <c r="C36" t="s">
        <v>50</v>
      </c>
    </row>
    <row r="37" ht="12.75">
      <c r="A37" s="6" t="s">
        <v>76</v>
      </c>
    </row>
  </sheetData>
  <sheetProtection password="C81D" sheet="1" objects="1" scenarios="1"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zoomScale="97" zoomScaleNormal="97" workbookViewId="0" topLeftCell="A1">
      <selection activeCell="C7" sqref="C7"/>
    </sheetView>
  </sheetViews>
  <sheetFormatPr defaultColWidth="11.421875" defaultRowHeight="12.75"/>
  <sheetData>
    <row r="1" ht="12.75">
      <c r="A1" t="s">
        <v>55</v>
      </c>
    </row>
    <row r="2" ht="12.75">
      <c r="A2" t="s">
        <v>75</v>
      </c>
    </row>
    <row r="3" ht="12.75">
      <c r="A3" t="s">
        <v>56</v>
      </c>
    </row>
    <row r="4" ht="12.75">
      <c r="A4" t="s">
        <v>53</v>
      </c>
    </row>
    <row r="5" ht="12.75">
      <c r="A5" t="s">
        <v>54</v>
      </c>
    </row>
    <row r="7" ht="12.75">
      <c r="A7" s="3" t="s">
        <v>18</v>
      </c>
    </row>
    <row r="8" ht="12.75">
      <c r="A8" t="s">
        <v>57</v>
      </c>
    </row>
    <row r="9" ht="12.75">
      <c r="A9" t="s">
        <v>58</v>
      </c>
    </row>
    <row r="10" ht="12.75">
      <c r="A10" t="s">
        <v>85</v>
      </c>
    </row>
    <row r="11" ht="12.75">
      <c r="A11" t="s">
        <v>59</v>
      </c>
    </row>
    <row r="12" ht="12.75">
      <c r="A12" t="s">
        <v>60</v>
      </c>
    </row>
    <row r="13" ht="12.75">
      <c r="A13" s="3" t="s">
        <v>21</v>
      </c>
    </row>
    <row r="14" ht="12.75">
      <c r="A14" t="s">
        <v>61</v>
      </c>
    </row>
    <row r="15" ht="12.75">
      <c r="A15" t="s">
        <v>91</v>
      </c>
    </row>
    <row r="16" ht="12.75">
      <c r="A16" t="s">
        <v>62</v>
      </c>
    </row>
    <row r="17" ht="12.75">
      <c r="A17" t="s">
        <v>92</v>
      </c>
    </row>
    <row r="18" ht="12.75">
      <c r="A18" t="s">
        <v>73</v>
      </c>
    </row>
    <row r="19" ht="12.75">
      <c r="A19" t="s">
        <v>63</v>
      </c>
    </row>
    <row r="20" ht="12.75">
      <c r="A20" t="s">
        <v>64</v>
      </c>
    </row>
    <row r="21" ht="12.75">
      <c r="A21" t="s">
        <v>65</v>
      </c>
    </row>
    <row r="22" ht="12.75">
      <c r="A22" t="s">
        <v>66</v>
      </c>
    </row>
    <row r="23" ht="12.75">
      <c r="A23" t="s">
        <v>67</v>
      </c>
    </row>
    <row r="24" ht="12.75">
      <c r="A24" t="s">
        <v>68</v>
      </c>
    </row>
    <row r="25" ht="12.75">
      <c r="A25" t="s">
        <v>82</v>
      </c>
    </row>
    <row r="26" ht="12.75">
      <c r="A26" t="s">
        <v>81</v>
      </c>
    </row>
    <row r="27" ht="12.75">
      <c r="A27" t="s">
        <v>69</v>
      </c>
    </row>
    <row r="28" ht="12.75">
      <c r="A28" s="3" t="s">
        <v>32</v>
      </c>
    </row>
    <row r="29" ht="12.75">
      <c r="A29" t="s">
        <v>70</v>
      </c>
    </row>
    <row r="30" ht="12.75">
      <c r="A30" t="s">
        <v>74</v>
      </c>
    </row>
    <row r="31" ht="12.75">
      <c r="A31" t="s">
        <v>71</v>
      </c>
    </row>
    <row r="32" ht="12.75">
      <c r="A32" s="3" t="s">
        <v>11</v>
      </c>
    </row>
    <row r="33" ht="12.75">
      <c r="A33" t="s">
        <v>72</v>
      </c>
    </row>
  </sheetData>
  <sheetProtection password="C81D" sheet="1" objects="1" scenarios="1"/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cp:lastPrinted>2006-01-22T13:39:38Z</cp:lastPrinted>
  <dcterms:created xsi:type="dcterms:W3CDTF">2006-01-19T10:14:18Z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